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T:\Boards and Commissions\NOCFA Board\Budgets\"/>
    </mc:Choice>
  </mc:AlternateContent>
  <xr:revisionPtr revIDLastSave="0" documentId="13_ncr:1_{2126FFFC-3215-4DAF-92C3-50DD0492516C}" xr6:coauthVersionLast="47" xr6:coauthVersionMax="47" xr10:uidLastSave="{00000000-0000-0000-0000-000000000000}"/>
  <bookViews>
    <workbookView xWindow="-120" yWindow="-120" windowWidth="29040" windowHeight="15840" xr2:uid="{D379A2C9-AF66-4A38-B460-FF65DD49B9A3}"/>
  </bookViews>
  <sheets>
    <sheet name="2025 Semi Annual budget" sheetId="1" r:id="rId1"/>
    <sheet name="Workshee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1" l="1"/>
  <c r="B40" i="1"/>
  <c r="B34" i="1"/>
  <c r="B33" i="1"/>
  <c r="B32" i="1"/>
  <c r="B29" i="1"/>
  <c r="B28" i="1"/>
  <c r="B27" i="1"/>
  <c r="B26" i="1"/>
  <c r="B25" i="1"/>
  <c r="B43" i="1" s="1" a="1"/>
  <c r="B43" i="1" s="1"/>
  <c r="D48" i="2"/>
  <c r="B20" i="2"/>
  <c r="B19" i="2"/>
  <c r="B18" i="2"/>
  <c r="B14" i="2"/>
  <c r="B13" i="2"/>
  <c r="B12" i="2"/>
  <c r="J26" i="2" s="1"/>
  <c r="B11" i="2"/>
  <c r="B10" i="2"/>
  <c r="B9" i="2"/>
  <c r="B8" i="2"/>
  <c r="B7" i="2"/>
  <c r="B6" i="2"/>
  <c r="B5" i="2"/>
  <c r="B4" i="2"/>
  <c r="J21" i="2"/>
  <c r="B3" i="2"/>
  <c r="J22" i="2"/>
  <c r="J16" i="2"/>
  <c r="K14" i="2"/>
  <c r="L14" i="2" s="1"/>
  <c r="K13" i="2"/>
  <c r="L13" i="2" s="1"/>
  <c r="K12" i="2"/>
  <c r="L12" i="2" s="1"/>
  <c r="K11" i="2"/>
  <c r="L11" i="2" s="1"/>
  <c r="K10" i="2"/>
  <c r="L10" i="2" s="1"/>
  <c r="K9" i="2"/>
  <c r="L9" i="2" s="1"/>
  <c r="K8" i="2"/>
  <c r="L8" i="2" s="1"/>
  <c r="K7" i="2"/>
  <c r="L7" i="2" s="1"/>
  <c r="K6" i="2"/>
  <c r="L6" i="2" s="1"/>
  <c r="K5" i="2"/>
  <c r="L5" i="2" s="1"/>
  <c r="K4" i="2"/>
  <c r="K16" i="2" s="1"/>
  <c r="K3" i="2"/>
  <c r="L3" i="2" s="1"/>
  <c r="G67" i="2"/>
  <c r="C33" i="2" s="1"/>
  <c r="C36" i="2" s="1"/>
  <c r="D39" i="2" s="1"/>
  <c r="G60" i="2"/>
  <c r="G54" i="2"/>
  <c r="G48" i="2"/>
  <c r="G42" i="2"/>
  <c r="G36" i="2"/>
  <c r="L33" i="2"/>
  <c r="G74" i="2" s="1"/>
  <c r="J30" i="2"/>
  <c r="G30" i="2"/>
  <c r="C30" i="2"/>
  <c r="J29" i="2"/>
  <c r="J28" i="2"/>
  <c r="C27" i="2"/>
  <c r="J25" i="2"/>
  <c r="G24" i="2"/>
  <c r="J23" i="2"/>
  <c r="B22" i="2"/>
  <c r="J20" i="2"/>
  <c r="J19" i="2"/>
  <c r="G18" i="2"/>
  <c r="G12" i="2"/>
  <c r="H9" i="2"/>
  <c r="J24" i="2" s="1"/>
  <c r="G6" i="2"/>
  <c r="H3" i="2"/>
  <c r="J27" i="2" s="1"/>
  <c r="B105" i="1"/>
  <c r="B99" i="1"/>
  <c r="B95" i="1"/>
  <c r="B79" i="1"/>
  <c r="B66" i="1"/>
  <c r="B57" i="1"/>
  <c r="B23" i="1"/>
  <c r="B18" i="1"/>
  <c r="B42" i="1" l="1" a="1"/>
  <c r="B42" i="1" s="1"/>
  <c r="C32" i="2"/>
  <c r="C35" i="2" s="1"/>
  <c r="D38" i="2" s="1"/>
  <c r="D40" i="2" s="1"/>
  <c r="B15" i="2"/>
  <c r="L4" i="2"/>
  <c r="L16" i="2" s="1"/>
  <c r="J31" i="2"/>
  <c r="B38" i="1" a="1"/>
  <c r="B38" i="1" s="1"/>
  <c r="B51" i="1" l="1"/>
  <c r="B107" i="1" s="1"/>
  <c r="B109" i="1" s="1"/>
  <c r="B11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<sst xmlns="http://schemas.openxmlformats.org/spreadsheetml/2006/main" count="282" uniqueCount="203">
  <si>
    <t>Revenues</t>
  </si>
  <si>
    <t>401 · Holly Township Contribution</t>
  </si>
  <si>
    <t>402 · Rose Township Contribution</t>
  </si>
  <si>
    <t>403 · Training / Education Revenues</t>
  </si>
  <si>
    <t>404 · Fire Cost Recovery</t>
  </si>
  <si>
    <t>405 ·  Grant Receipts</t>
  </si>
  <si>
    <t>405.5 - SAFER Grant Receipts</t>
  </si>
  <si>
    <t>406 · Medical Cost Recovery</t>
  </si>
  <si>
    <t>410 · Sales-Small Items</t>
  </si>
  <si>
    <t>412 · Sales-Capital Items</t>
  </si>
  <si>
    <t>413 · Review and Inspection Services</t>
  </si>
  <si>
    <t>414 · Interest Earned</t>
  </si>
  <si>
    <t>416 · Donations</t>
  </si>
  <si>
    <t>419 - Insurance Reimbursement</t>
  </si>
  <si>
    <t>419.1 - Wages Reimbursement</t>
  </si>
  <si>
    <t>Total Revenues</t>
  </si>
  <si>
    <t>Expenditures</t>
  </si>
  <si>
    <t>Insurance</t>
  </si>
  <si>
    <t>650 · Liability Insurance</t>
  </si>
  <si>
    <t>652 · Workers Compensation Insurance</t>
  </si>
  <si>
    <t>Total - Insurance</t>
  </si>
  <si>
    <t>Personnel</t>
  </si>
  <si>
    <t>700 · Wages, Chief Full Time</t>
  </si>
  <si>
    <t>700.5 · Full Time Employee Wages &amp; Sick leave</t>
  </si>
  <si>
    <t>700.7 - Full Time Overtime Wages</t>
  </si>
  <si>
    <t>700.9 - Full Time Administrative Position</t>
  </si>
  <si>
    <t>704 · PT Officer Stipends</t>
  </si>
  <si>
    <t>705 · Instructor Wages</t>
  </si>
  <si>
    <t>707 - Special Event Pay</t>
  </si>
  <si>
    <t>708 - DUTY SHIFT MEDIC</t>
  </si>
  <si>
    <t>708.5 - DUTY SHIFT BASIC</t>
  </si>
  <si>
    <t>709 - Part Time Overtime Pay</t>
  </si>
  <si>
    <t>710 · Work Detail Pay</t>
  </si>
  <si>
    <t>711 · Training Wages</t>
  </si>
  <si>
    <t>712 · Incident Run Pay / POC Fire Wages</t>
  </si>
  <si>
    <t>714 · Social Sec / FICA</t>
  </si>
  <si>
    <t>715 · Medical Expenses - Employees</t>
  </si>
  <si>
    <t>716 · Healthcare Insurance -  Full Time Employees</t>
  </si>
  <si>
    <t>716.2 - Health Care (opt out) Stipend</t>
  </si>
  <si>
    <t xml:space="preserve">716.5 - Health Care Savings Plan Contribution FT </t>
  </si>
  <si>
    <t>717 · 401a Contribution - Full Time Employees</t>
  </si>
  <si>
    <t>717.2 - 401a contribution - POC Employees</t>
  </si>
  <si>
    <t>717.4 - 401a Forfeitures</t>
  </si>
  <si>
    <t>719 · Life/LT Disability Insurance- Full Time Emp.</t>
  </si>
  <si>
    <t>Fitness Memberships</t>
  </si>
  <si>
    <t>Holiday Pay out</t>
  </si>
  <si>
    <t>Uniform Payout</t>
  </si>
  <si>
    <t>Food Payout</t>
  </si>
  <si>
    <t>Total - Personnel</t>
  </si>
  <si>
    <t>Supplies</t>
  </si>
  <si>
    <t>722 · Operating Supplies</t>
  </si>
  <si>
    <t>723 · Fire Prevention</t>
  </si>
  <si>
    <t>724 · Uniforms</t>
  </si>
  <si>
    <t>726 · Medical Supplies</t>
  </si>
  <si>
    <t>Total - Supplies</t>
  </si>
  <si>
    <t>SAFER Grant</t>
  </si>
  <si>
    <t>751 - Instructor Wages</t>
  </si>
  <si>
    <t>753 - Training Costs</t>
  </si>
  <si>
    <t>754 - Employee Physicals</t>
  </si>
  <si>
    <t>757 - Fringe Benefits</t>
  </si>
  <si>
    <t>760 - Marketing</t>
  </si>
  <si>
    <t>761 - Equipment Purchases</t>
  </si>
  <si>
    <t>765 - Lost Wages Reimbursement</t>
  </si>
  <si>
    <t>Total - SAFER Grant</t>
  </si>
  <si>
    <t>Contracted Services</t>
  </si>
  <si>
    <t>800 · Dispatching</t>
  </si>
  <si>
    <t>802 · Auditing</t>
  </si>
  <si>
    <t>804 · Legal</t>
  </si>
  <si>
    <t>806 · Medical Cost Recovery Billing-  AccuMed</t>
  </si>
  <si>
    <t>807 · Fire Cost Recovery Billing- AccuMed</t>
  </si>
  <si>
    <t>810 · NON-Employee Instructor Wages</t>
  </si>
  <si>
    <t xml:space="preserve">812 · Education </t>
  </si>
  <si>
    <t>814 · Dues and Subscriptions</t>
  </si>
  <si>
    <t>815 · Payroll Services</t>
  </si>
  <si>
    <t>816 · Administrative Services / Book Keeping</t>
  </si>
  <si>
    <t>820 · Construction/Labor Services</t>
  </si>
  <si>
    <t>Total - Contracted Services</t>
  </si>
  <si>
    <t>Operating</t>
  </si>
  <si>
    <t>850 · Communications</t>
  </si>
  <si>
    <t>851 · Information Technology Expenses</t>
  </si>
  <si>
    <t xml:space="preserve">852 · Fuel </t>
  </si>
  <si>
    <t>854 · Printing and Publishing</t>
  </si>
  <si>
    <t>855 · Training supplies / Equipment</t>
  </si>
  <si>
    <t>858 · Building Utilities</t>
  </si>
  <si>
    <t>859 · Equipment Lease</t>
  </si>
  <si>
    <t>860 · Building &amp; Grounds Repair / Maintenance</t>
  </si>
  <si>
    <t>862 · Equip Maintenance</t>
  </si>
  <si>
    <t>866 · Vehicle Maintenance</t>
  </si>
  <si>
    <t>867 - Debt Write Off - Medical Billing</t>
  </si>
  <si>
    <t>867.5 - QAAP Medicaid Tax</t>
  </si>
  <si>
    <t>868 - Debt Write Off - Fire Cost Recovery</t>
  </si>
  <si>
    <t>869- Debt Write Off / Other - COLLECTIONS</t>
  </si>
  <si>
    <t>Total - Operating Expenses</t>
  </si>
  <si>
    <t>Debt Service</t>
  </si>
  <si>
    <t>950 · Debt Service Principle</t>
  </si>
  <si>
    <t>952 · Debt Service Interest</t>
  </si>
  <si>
    <t xml:space="preserve">Total - Debt Service </t>
  </si>
  <si>
    <t>Purchases</t>
  </si>
  <si>
    <t>970 · Capital Purchases +10,000</t>
  </si>
  <si>
    <t xml:space="preserve">972 · Equipment Purchases </t>
  </si>
  <si>
    <t>973 · Grant Expenses</t>
  </si>
  <si>
    <t>974 · Grant Match</t>
  </si>
  <si>
    <t>Total - Purchases</t>
  </si>
  <si>
    <t>Total All Expenditures</t>
  </si>
  <si>
    <t>**recommend a 60k to 100k fund balance each year to continue building up our reserve account. Fund Balance</t>
  </si>
  <si>
    <t>Grand Total</t>
  </si>
  <si>
    <t>diff.</t>
  </si>
  <si>
    <t>FULL TIME EMPLOYEES</t>
  </si>
  <si>
    <t>Seal, Tim (Administrative Shift Employee)</t>
  </si>
  <si>
    <t>admin</t>
  </si>
  <si>
    <t>Duty shift hrs. worked per year (EMT BASIC)</t>
  </si>
  <si>
    <t>Admin hours worked per year</t>
  </si>
  <si>
    <t>Asst. Chief TS</t>
  </si>
  <si>
    <t>Vacation time</t>
  </si>
  <si>
    <t>EMS Coordinator LF</t>
  </si>
  <si>
    <t xml:space="preserve">sick time </t>
  </si>
  <si>
    <t>Captain ID</t>
  </si>
  <si>
    <t>Platoon</t>
  </si>
  <si>
    <t>Total Duty Shift Hours Covered Annually</t>
  </si>
  <si>
    <t>Lieutenant DD</t>
  </si>
  <si>
    <t>Finkbeiner, Logan (Administrative Shift Employee)</t>
  </si>
  <si>
    <t>Sergeant NT</t>
  </si>
  <si>
    <t>Duty shift hrs. worked per year (Paramedic)</t>
  </si>
  <si>
    <t>Full Time FF LC</t>
  </si>
  <si>
    <t>Full Time FF BD</t>
  </si>
  <si>
    <t>Full Time FF KM</t>
  </si>
  <si>
    <t>sick time</t>
  </si>
  <si>
    <t>Full Time FF JP</t>
  </si>
  <si>
    <t>Full Time FF WS</t>
  </si>
  <si>
    <t>Dunbar, Ian (Platoon Shift Employee)</t>
  </si>
  <si>
    <t>Full Time FF TD</t>
  </si>
  <si>
    <t>Kelly Day Hours</t>
  </si>
  <si>
    <t>Part Time OFFICER STIPENDS</t>
  </si>
  <si>
    <t>Deputy Chief</t>
  </si>
  <si>
    <t xml:space="preserve"> Current sick time costs</t>
  </si>
  <si>
    <t>Current Houry Wage</t>
  </si>
  <si>
    <t>Sta. 3 Captain</t>
  </si>
  <si>
    <t>McKee, Kevin (Platoon Shift Employee)</t>
  </si>
  <si>
    <t>Campbell</t>
  </si>
  <si>
    <t>Sta. 3 LT</t>
  </si>
  <si>
    <t>Denton</t>
  </si>
  <si>
    <t>Safety Officer</t>
  </si>
  <si>
    <t>devries</t>
  </si>
  <si>
    <t>should increase stipends</t>
  </si>
  <si>
    <t>Dewey</t>
  </si>
  <si>
    <t>Dunbar</t>
  </si>
  <si>
    <t>DUTY SHIFT PAY</t>
  </si>
  <si>
    <t>Finkbeiner</t>
  </si>
  <si>
    <t>hrs.</t>
  </si>
  <si>
    <t>Tosch, Nick (Platoon Shift Employee)</t>
  </si>
  <si>
    <t>Mckee</t>
  </si>
  <si>
    <t>Parkin</t>
  </si>
  <si>
    <t>Total</t>
  </si>
  <si>
    <t>Seal</t>
  </si>
  <si>
    <t>Spade</t>
  </si>
  <si>
    <t>Tosch</t>
  </si>
  <si>
    <t>Weil</t>
  </si>
  <si>
    <t>Dewey, Don (Platoon Shift Employee)</t>
  </si>
  <si>
    <t>Total Medic hrs covered by FT staff</t>
  </si>
  <si>
    <t>Average Hourly Wage</t>
  </si>
  <si>
    <t>Total EMT hrs covered by FT staff</t>
  </si>
  <si>
    <t>Medic hrs. left to cover with Part Time</t>
  </si>
  <si>
    <t>Basic hrs. left to cover with Part Time</t>
  </si>
  <si>
    <t>Campbell, Logan (Platoon Shift Employee)</t>
  </si>
  <si>
    <t>Medic part time hourly pay wages</t>
  </si>
  <si>
    <t>Basic part time hourly wages</t>
  </si>
  <si>
    <t>Total Duty Shift Hourly Pay Wages</t>
  </si>
  <si>
    <t xml:space="preserve">Overtime - Full time </t>
  </si>
  <si>
    <t>Overtime - part time employees</t>
  </si>
  <si>
    <t>DeVries, Brent (Platoon Shift Employee)</t>
  </si>
  <si>
    <t>Health Care Costs</t>
  </si>
  <si>
    <t>Employees on Dept Health Care</t>
  </si>
  <si>
    <t>Current year sick time costs</t>
  </si>
  <si>
    <t>Spade, Wade (Platoon Shift Employee)</t>
  </si>
  <si>
    <t>Banked (prior years)  sick time to budget for</t>
  </si>
  <si>
    <t>Parkin, Jim (Platoon Shift Employee)</t>
  </si>
  <si>
    <t>Tecla Denton (Platoon Shift Employee)</t>
  </si>
  <si>
    <t>Duty shift hrs. worked per year (Basic EMT)</t>
  </si>
  <si>
    <t>Class time</t>
  </si>
  <si>
    <t>FULL TIME EMPLOYEES TRAINING TIME -OFF DUTY (backfill)</t>
  </si>
  <si>
    <t>12 Full Time Employees X 60 hours</t>
  </si>
  <si>
    <t>DEDUCT from total medic hours covered by FT staff</t>
  </si>
  <si>
    <t>Cost in $$</t>
  </si>
  <si>
    <t>old wages</t>
  </si>
  <si>
    <t>5% Increase year 1</t>
  </si>
  <si>
    <t>Total new wages</t>
  </si>
  <si>
    <t>Fire Chief</t>
  </si>
  <si>
    <t>Assistant Chief TS</t>
  </si>
  <si>
    <t xml:space="preserve"> Sergeant NT</t>
  </si>
  <si>
    <t>Full Time FF EMT TD</t>
  </si>
  <si>
    <t>New Full Time Emp.</t>
  </si>
  <si>
    <t>Admin Manager - Lintz</t>
  </si>
  <si>
    <t>Chief - Weil</t>
  </si>
  <si>
    <t>NON IAFF</t>
  </si>
  <si>
    <t>5% Increase - 6mos</t>
  </si>
  <si>
    <t>Sta. 1 Medic staffing hours 24/7/183</t>
  </si>
  <si>
    <t>Sta. 3 Medic staffing hours 24/7/183</t>
  </si>
  <si>
    <t>Sta. 3 EMT staffing hours 24/7/183</t>
  </si>
  <si>
    <t>NORTH OAKLAND COUNTY FIRE AUTHORITY</t>
  </si>
  <si>
    <t xml:space="preserve"> Semi Annual Budget 7/1/2025 though 12/31/2025</t>
  </si>
  <si>
    <t xml:space="preserve">DRAFT </t>
  </si>
  <si>
    <t>5% Wages Increase</t>
  </si>
  <si>
    <t>STD Insurance Added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</si>
</sst>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theme="1"/>
      <name val="Mongolian Baiti"/>
      <family val="4"/>
    </font>
    <font>
      <sz val="12"/>
      <color theme="1"/>
      <name val="Mongolian Baiti"/>
      <family val="4"/>
    </font>
    <font>
      <sz val="12"/>
      <name val="Arial"/>
      <family val="2"/>
    </font>
    <font>
      <b/>
      <sz val="12"/>
      <color theme="1"/>
      <name val="Mongolian Baiti"/>
      <family val="4"/>
    </font>
    <font>
      <b/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2"/>
      <color rgb="FFFF0000"/>
      <name val="Mongolian Baiti"/>
      <family val="4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/>
    <xf numFmtId="44" fontId="5" fillId="0" borderId="0" xfId="1" applyFont="1" applyFill="1" applyBorder="1"/>
    <xf numFmtId="0" fontId="4" fillId="0" borderId="1" xfId="0" applyFont="1" applyBorder="1"/>
    <xf numFmtId="44" fontId="5" fillId="0" borderId="1" xfId="1" applyFont="1" applyFill="1" applyBorder="1"/>
    <xf numFmtId="0" fontId="6" fillId="0" borderId="0" xfId="0" applyFont="1" applyAlignment="1">
      <alignment horizontal="right"/>
    </xf>
    <xf numFmtId="44" fontId="4" fillId="0" borderId="0" xfId="1" applyFont="1"/>
    <xf numFmtId="0" fontId="6" fillId="0" borderId="0" xfId="0" applyFont="1"/>
    <xf numFmtId="44" fontId="4" fillId="0" borderId="0" xfId="1" applyFont="1" applyFill="1"/>
    <xf numFmtId="44" fontId="4" fillId="0" borderId="2" xfId="1" applyFont="1" applyBorder="1"/>
    <xf numFmtId="0" fontId="6" fillId="0" borderId="0" xfId="0" applyFont="1" applyAlignment="1">
      <alignment horizontal="left"/>
    </xf>
    <xf numFmtId="44" fontId="4" fillId="0" borderId="3" xfId="1" applyFont="1" applyBorder="1"/>
    <xf numFmtId="0" fontId="4" fillId="0" borderId="0" xfId="0" applyFont="1" applyAlignment="1">
      <alignment horizontal="center" vertical="center" wrapText="1"/>
    </xf>
    <xf numFmtId="44" fontId="4" fillId="0" borderId="0" xfId="1" applyFont="1" applyBorder="1"/>
    <xf numFmtId="44" fontId="4" fillId="0" borderId="0" xfId="0" applyNumberFormat="1" applyFont="1"/>
    <xf numFmtId="0" fontId="2" fillId="0" borderId="4" xfId="0" applyFont="1" applyBorder="1"/>
    <xf numFmtId="0" fontId="0" fillId="0" borderId="5" xfId="0" applyBorder="1"/>
    <xf numFmtId="0" fontId="0" fillId="0" borderId="8" xfId="0" applyBorder="1"/>
    <xf numFmtId="44" fontId="0" fillId="0" borderId="9" xfId="1" applyFont="1" applyFill="1" applyBorder="1"/>
    <xf numFmtId="0" fontId="0" fillId="0" borderId="10" xfId="0" applyBorder="1"/>
    <xf numFmtId="0" fontId="0" fillId="0" borderId="11" xfId="0" applyBorder="1"/>
    <xf numFmtId="0" fontId="2" fillId="0" borderId="12" xfId="0" applyFont="1" applyBorder="1"/>
    <xf numFmtId="0" fontId="2" fillId="0" borderId="13" xfId="0" applyFont="1" applyBorder="1"/>
    <xf numFmtId="14" fontId="0" fillId="0" borderId="0" xfId="0" applyNumberFormat="1"/>
    <xf numFmtId="0" fontId="0" fillId="0" borderId="14" xfId="0" applyBorder="1"/>
    <xf numFmtId="0" fontId="0" fillId="0" borderId="15" xfId="0" applyBorder="1"/>
    <xf numFmtId="0" fontId="0" fillId="0" borderId="16" xfId="0" applyBorder="1"/>
    <xf numFmtId="44" fontId="2" fillId="0" borderId="17" xfId="1" applyFont="1" applyFill="1" applyBorder="1"/>
    <xf numFmtId="44" fontId="0" fillId="0" borderId="0" xfId="1" applyFont="1" applyFill="1"/>
    <xf numFmtId="0" fontId="2" fillId="0" borderId="18" xfId="0" applyFont="1" applyBorder="1"/>
    <xf numFmtId="0" fontId="2" fillId="0" borderId="19" xfId="0" applyFont="1" applyBorder="1"/>
    <xf numFmtId="0" fontId="0" fillId="0" borderId="20" xfId="0" applyBorder="1"/>
    <xf numFmtId="44" fontId="0" fillId="0" borderId="20" xfId="0" applyNumberFormat="1" applyBorder="1"/>
    <xf numFmtId="44" fontId="1" fillId="0" borderId="20" xfId="1" applyFont="1" applyFill="1" applyBorder="1" applyAlignment="1">
      <alignment horizontal="center" wrapText="1"/>
    </xf>
    <xf numFmtId="44" fontId="1" fillId="0" borderId="20" xfId="1" applyFont="1" applyFill="1" applyBorder="1"/>
    <xf numFmtId="0" fontId="0" fillId="0" borderId="4" xfId="0" applyBorder="1"/>
    <xf numFmtId="0" fontId="0" fillId="0" borderId="21" xfId="0" applyBorder="1"/>
    <xf numFmtId="0" fontId="0" fillId="0" borderId="9" xfId="0" applyBorder="1"/>
    <xf numFmtId="0" fontId="0" fillId="0" borderId="1" xfId="0" applyBorder="1"/>
    <xf numFmtId="0" fontId="2" fillId="0" borderId="1" xfId="0" applyFont="1" applyBorder="1"/>
    <xf numFmtId="0" fontId="0" fillId="0" borderId="17" xfId="0" applyBorder="1"/>
    <xf numFmtId="0" fontId="0" fillId="0" borderId="20" xfId="0" applyBorder="1" applyAlignment="1">
      <alignment horizontal="right"/>
    </xf>
    <xf numFmtId="0" fontId="0" fillId="0" borderId="22" xfId="0" applyBorder="1"/>
    <xf numFmtId="44" fontId="0" fillId="0" borderId="23" xfId="0" applyNumberFormat="1" applyBorder="1"/>
    <xf numFmtId="44" fontId="0" fillId="0" borderId="21" xfId="1" applyFont="1" applyFill="1" applyBorder="1"/>
    <xf numFmtId="44" fontId="0" fillId="0" borderId="5" xfId="0" applyNumberFormat="1" applyBorder="1"/>
    <xf numFmtId="44" fontId="0" fillId="0" borderId="0" xfId="1" applyFont="1" applyFill="1" applyBorder="1"/>
    <xf numFmtId="44" fontId="0" fillId="0" borderId="9" xfId="0" applyNumberFormat="1" applyBorder="1"/>
    <xf numFmtId="44" fontId="0" fillId="0" borderId="17" xfId="0" applyNumberFormat="1" applyBorder="1"/>
    <xf numFmtId="44" fontId="0" fillId="0" borderId="5" xfId="1" applyFont="1" applyFill="1" applyBorder="1"/>
    <xf numFmtId="44" fontId="0" fillId="0" borderId="17" xfId="1" applyFont="1" applyFill="1" applyBorder="1"/>
    <xf numFmtId="44" fontId="0" fillId="0" borderId="1" xfId="1" applyFont="1" applyFill="1" applyBorder="1"/>
    <xf numFmtId="44" fontId="0" fillId="0" borderId="26" xfId="0" applyNumberFormat="1" applyBorder="1"/>
    <xf numFmtId="44" fontId="0" fillId="0" borderId="26" xfId="1" applyFont="1" applyFill="1" applyBorder="1"/>
    <xf numFmtId="0" fontId="0" fillId="0" borderId="18" xfId="0" applyBorder="1"/>
    <xf numFmtId="0" fontId="0" fillId="0" borderId="19" xfId="0" applyBorder="1"/>
    <xf numFmtId="0" fontId="2" fillId="0" borderId="0" xfId="0" applyFont="1"/>
    <xf numFmtId="0" fontId="2" fillId="0" borderId="9" xfId="0" applyFont="1" applyBorder="1"/>
    <xf numFmtId="0" fontId="7" fillId="0" borderId="8" xfId="0" applyFont="1" applyBorder="1" applyAlignment="1">
      <alignment horizontal="right"/>
    </xf>
    <xf numFmtId="0" fontId="0" fillId="0" borderId="16" xfId="0" applyBorder="1" applyAlignment="1">
      <alignment horizontal="right"/>
    </xf>
    <xf numFmtId="44" fontId="0" fillId="0" borderId="17" xfId="1" applyFont="1" applyBorder="1"/>
    <xf numFmtId="0" fontId="7" fillId="0" borderId="0" xfId="0" applyFont="1" applyAlignment="1">
      <alignment horizontal="right"/>
    </xf>
    <xf numFmtId="0" fontId="0" fillId="0" borderId="0" xfId="0" applyAlignment="1">
      <alignment horizontal="center"/>
    </xf>
    <xf numFmtId="44" fontId="0" fillId="0" borderId="0" xfId="1" applyFont="1"/>
    <xf numFmtId="44" fontId="0" fillId="0" borderId="0" xfId="0" applyNumberFormat="1"/>
    <xf numFmtId="0" fontId="8" fillId="0" borderId="8" xfId="0" applyFont="1" applyBorder="1"/>
    <xf numFmtId="44" fontId="4" fillId="0" borderId="0" xfId="1" applyFont="1" applyFill="1" applyBorder="1"/>
    <xf numFmtId="0" fontId="9" fillId="0" borderId="0" xfId="0" applyFont="1"/>
    <xf numFmtId="44" fontId="6" fillId="0" borderId="2" xfId="1" applyFont="1" applyFill="1" applyBorder="1"/>
    <xf numFmtId="44" fontId="4" fillId="0" borderId="1" xfId="1" applyFont="1" applyFill="1" applyBorder="1"/>
    <xf numFmtId="44" fontId="4" fillId="0" borderId="2" xfId="1" applyFont="1" applyFill="1" applyBorder="1"/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4" xfId="0" applyBorder="1" applyAlignment="1">
      <alignment horizontal="right"/>
    </xf>
    <xf numFmtId="0" fontId="0" fillId="0" borderId="25" xfId="0" applyBorder="1" applyAlignment="1">
      <alignment horizontal="right"/>
    </xf>
    <xf numFmtId="0" fontId="2" fillId="0" borderId="14" xfId="0" applyFont="1" applyBorder="1" applyAlignment="1">
      <alignment horizontal="center"/>
    </xf>
    <xf numFmtId="0" fontId="0" fillId="0" borderId="15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DFF42-85B2-4F91-820C-D2AF70264609}">
  <dimension ref="A1:C110"/>
  <sheetViews>
    <sheetView tabSelected="1" topLeftCell="A87" workbookViewId="0">
      <selection activeCell="C46" sqref="C46"/>
    </sheetView>
  </sheetViews>
  <sheetFormatPr defaultRowHeight="15.75" x14ac:dyDescent="0.25"/>
  <cols>
    <col min="1" max="1" width="46.42578125" style="3" customWidth="1"/>
    <col min="2" max="2" width="26.7109375" style="3" customWidth="1"/>
  </cols>
  <sheetData>
    <row r="1" spans="1:2" ht="26.25" customHeight="1" x14ac:dyDescent="0.3">
      <c r="A1" s="73" t="s">
        <v>198</v>
      </c>
      <c r="B1" s="73"/>
    </row>
    <row r="2" spans="1:2" ht="30" customHeight="1" x14ac:dyDescent="0.3">
      <c r="A2" s="74" t="s">
        <v>199</v>
      </c>
      <c r="B2" s="74"/>
    </row>
    <row r="3" spans="1:2" ht="22.5" x14ac:dyDescent="0.3">
      <c r="A3" s="1" t="s">
        <v>0</v>
      </c>
      <c r="B3" s="2" t="s">
        <v>200</v>
      </c>
    </row>
    <row r="4" spans="1:2" x14ac:dyDescent="0.25">
      <c r="A4" s="3" t="s">
        <v>1</v>
      </c>
      <c r="B4" s="4">
        <v>591505</v>
      </c>
    </row>
    <row r="5" spans="1:2" x14ac:dyDescent="0.25">
      <c r="A5" s="3" t="s">
        <v>2</v>
      </c>
      <c r="B5" s="4">
        <v>591505</v>
      </c>
    </row>
    <row r="6" spans="1:2" x14ac:dyDescent="0.25">
      <c r="A6" s="3" t="s">
        <v>3</v>
      </c>
      <c r="B6" s="4">
        <v>4000</v>
      </c>
    </row>
    <row r="7" spans="1:2" x14ac:dyDescent="0.25">
      <c r="A7" s="3" t="s">
        <v>4</v>
      </c>
      <c r="B7" s="4">
        <v>500</v>
      </c>
    </row>
    <row r="8" spans="1:2" x14ac:dyDescent="0.25">
      <c r="A8" s="3" t="s">
        <v>5</v>
      </c>
      <c r="B8" s="4">
        <v>10000</v>
      </c>
    </row>
    <row r="9" spans="1:2" x14ac:dyDescent="0.25">
      <c r="A9" s="3" t="s">
        <v>6</v>
      </c>
      <c r="B9" s="4">
        <v>50000</v>
      </c>
    </row>
    <row r="10" spans="1:2" x14ac:dyDescent="0.25">
      <c r="A10" s="3" t="s">
        <v>7</v>
      </c>
      <c r="B10" s="4">
        <v>210000</v>
      </c>
    </row>
    <row r="11" spans="1:2" x14ac:dyDescent="0.25">
      <c r="A11" s="3" t="s">
        <v>8</v>
      </c>
      <c r="B11" s="4">
        <v>0</v>
      </c>
    </row>
    <row r="12" spans="1:2" x14ac:dyDescent="0.25">
      <c r="A12" s="3" t="s">
        <v>9</v>
      </c>
      <c r="B12" s="4">
        <v>0</v>
      </c>
    </row>
    <row r="13" spans="1:2" x14ac:dyDescent="0.25">
      <c r="A13" s="3" t="s">
        <v>10</v>
      </c>
      <c r="B13" s="4">
        <v>28000</v>
      </c>
    </row>
    <row r="14" spans="1:2" x14ac:dyDescent="0.25">
      <c r="A14" s="3" t="s">
        <v>11</v>
      </c>
      <c r="B14" s="4">
        <v>7000</v>
      </c>
    </row>
    <row r="15" spans="1:2" x14ac:dyDescent="0.25">
      <c r="A15" s="3" t="s">
        <v>12</v>
      </c>
      <c r="B15" s="4">
        <v>100</v>
      </c>
    </row>
    <row r="16" spans="1:2" x14ac:dyDescent="0.25">
      <c r="A16" s="3" t="s">
        <v>13</v>
      </c>
      <c r="B16" s="4"/>
    </row>
    <row r="17" spans="1:3" x14ac:dyDescent="0.25">
      <c r="A17" s="5" t="s">
        <v>14</v>
      </c>
      <c r="B17" s="6">
        <v>700</v>
      </c>
    </row>
    <row r="18" spans="1:3" ht="16.5" thickBot="1" x14ac:dyDescent="0.3">
      <c r="A18" s="7" t="s">
        <v>15</v>
      </c>
      <c r="B18" s="70">
        <f>SUM(B4:B17)</f>
        <v>1493310</v>
      </c>
    </row>
    <row r="19" spans="1:3" ht="23.25" thickTop="1" x14ac:dyDescent="0.3">
      <c r="A19" s="1" t="s">
        <v>16</v>
      </c>
      <c r="B19" s="10"/>
    </row>
    <row r="20" spans="1:3" x14ac:dyDescent="0.25">
      <c r="A20" s="9" t="s">
        <v>17</v>
      </c>
      <c r="B20" s="10"/>
    </row>
    <row r="21" spans="1:3" x14ac:dyDescent="0.25">
      <c r="A21" s="3" t="s">
        <v>18</v>
      </c>
      <c r="B21" s="10">
        <v>25000</v>
      </c>
    </row>
    <row r="22" spans="1:3" x14ac:dyDescent="0.25">
      <c r="A22" s="5" t="s">
        <v>19</v>
      </c>
      <c r="B22" s="71">
        <v>39000</v>
      </c>
    </row>
    <row r="23" spans="1:3" ht="16.5" thickBot="1" x14ac:dyDescent="0.3">
      <c r="A23" s="7" t="s">
        <v>20</v>
      </c>
      <c r="B23" s="70">
        <f>SUM(B21:B22)</f>
        <v>64000</v>
      </c>
    </row>
    <row r="24" spans="1:3" ht="16.5" thickTop="1" x14ac:dyDescent="0.25">
      <c r="A24" s="9" t="s">
        <v>21</v>
      </c>
      <c r="B24" s="10"/>
    </row>
    <row r="25" spans="1:3" x14ac:dyDescent="0.25">
      <c r="A25" s="3" t="s">
        <v>22</v>
      </c>
      <c r="B25" s="10">
        <f>SUM(Worksheet!B3)</f>
        <v>47250</v>
      </c>
      <c r="C25" t="s">
        <v>201</v>
      </c>
    </row>
    <row r="26" spans="1:3" x14ac:dyDescent="0.25">
      <c r="A26" s="3" t="s">
        <v>23</v>
      </c>
      <c r="B26" s="10">
        <f>SUM(Worksheet!B4:B14)+Worksheet!D50</f>
        <v>388921.37500000006</v>
      </c>
      <c r="C26" t="s">
        <v>201</v>
      </c>
    </row>
    <row r="27" spans="1:3" x14ac:dyDescent="0.25">
      <c r="A27" s="3" t="s">
        <v>24</v>
      </c>
      <c r="B27" s="10">
        <f>SUM(Worksheet!D42)</f>
        <v>25000</v>
      </c>
    </row>
    <row r="28" spans="1:3" x14ac:dyDescent="0.25">
      <c r="A28" s="3" t="s">
        <v>25</v>
      </c>
      <c r="B28" s="10">
        <f>SUM(Worksheet!B2)</f>
        <v>25000</v>
      </c>
    </row>
    <row r="29" spans="1:3" x14ac:dyDescent="0.25">
      <c r="A29" s="3" t="s">
        <v>26</v>
      </c>
      <c r="B29" s="10">
        <f>SUM(Worksheet!B22)</f>
        <v>7900</v>
      </c>
    </row>
    <row r="30" spans="1:3" x14ac:dyDescent="0.25">
      <c r="A30" s="3" t="s">
        <v>27</v>
      </c>
      <c r="B30" s="10">
        <v>1200</v>
      </c>
    </row>
    <row r="31" spans="1:3" x14ac:dyDescent="0.25">
      <c r="A31" s="3" t="s">
        <v>28</v>
      </c>
      <c r="B31" s="10">
        <v>14000</v>
      </c>
    </row>
    <row r="32" spans="1:3" x14ac:dyDescent="0.25">
      <c r="A32" s="3" t="s">
        <v>29</v>
      </c>
      <c r="B32" s="10">
        <f>SUM(Worksheet!D38)</f>
        <v>108624</v>
      </c>
    </row>
    <row r="33" spans="1:3" x14ac:dyDescent="0.25">
      <c r="A33" s="3" t="s">
        <v>30</v>
      </c>
      <c r="B33" s="10">
        <f>SUM(Worksheet!D39)</f>
        <v>75064</v>
      </c>
    </row>
    <row r="34" spans="1:3" x14ac:dyDescent="0.25">
      <c r="A34" s="3" t="s">
        <v>31</v>
      </c>
      <c r="B34" s="10">
        <f>SUM(Worksheet!D43)</f>
        <v>6000</v>
      </c>
    </row>
    <row r="35" spans="1:3" x14ac:dyDescent="0.25">
      <c r="A35" s="3" t="s">
        <v>32</v>
      </c>
      <c r="B35" s="10">
        <v>2500</v>
      </c>
    </row>
    <row r="36" spans="1:3" x14ac:dyDescent="0.25">
      <c r="A36" s="3" t="s">
        <v>33</v>
      </c>
      <c r="B36" s="10">
        <v>15000</v>
      </c>
    </row>
    <row r="37" spans="1:3" x14ac:dyDescent="0.25">
      <c r="A37" s="3" t="s">
        <v>34</v>
      </c>
      <c r="B37" s="10">
        <v>24000</v>
      </c>
    </row>
    <row r="38" spans="1:3" x14ac:dyDescent="0.25">
      <c r="A38" s="3" t="s">
        <v>35</v>
      </c>
      <c r="B38" s="10" cm="1">
        <f t="array" ref="B38">SUM(B25:B37*0.077)</f>
        <v>57015.371875000012</v>
      </c>
    </row>
    <row r="39" spans="1:3" x14ac:dyDescent="0.25">
      <c r="A39" s="3" t="s">
        <v>36</v>
      </c>
      <c r="B39" s="10">
        <v>1000</v>
      </c>
    </row>
    <row r="40" spans="1:3" x14ac:dyDescent="0.25">
      <c r="A40" s="3" t="s">
        <v>37</v>
      </c>
      <c r="B40" s="10">
        <f>SUM(Worksheet!D46)</f>
        <v>132000</v>
      </c>
    </row>
    <row r="41" spans="1:3" x14ac:dyDescent="0.25">
      <c r="A41" s="3" t="s">
        <v>38</v>
      </c>
      <c r="B41" s="10">
        <f>SUM(Worksheet!D45)</f>
        <v>2000</v>
      </c>
    </row>
    <row r="42" spans="1:3" x14ac:dyDescent="0.25">
      <c r="A42" s="3" t="s">
        <v>39</v>
      </c>
      <c r="B42" s="10" cm="1">
        <f t="array" ref="B42">SUM(B25:B28+5000)*0.02</f>
        <v>10123.427500000002</v>
      </c>
    </row>
    <row r="43" spans="1:3" x14ac:dyDescent="0.25">
      <c r="A43" s="3" t="s">
        <v>40</v>
      </c>
      <c r="B43" s="10" cm="1">
        <f t="array" ref="B43">SUM(B25:B28+5000)*0.13</f>
        <v>65802.278750000012</v>
      </c>
    </row>
    <row r="44" spans="1:3" x14ac:dyDescent="0.25">
      <c r="A44" s="3" t="s">
        <v>41</v>
      </c>
      <c r="B44" s="10">
        <v>5000</v>
      </c>
    </row>
    <row r="45" spans="1:3" x14ac:dyDescent="0.25">
      <c r="A45" s="3" t="s">
        <v>42</v>
      </c>
      <c r="B45" s="10">
        <v>0</v>
      </c>
    </row>
    <row r="46" spans="1:3" x14ac:dyDescent="0.25">
      <c r="A46" s="3" t="s">
        <v>43</v>
      </c>
      <c r="B46" s="68">
        <v>7500</v>
      </c>
      <c r="C46" t="s">
        <v>202</v>
      </c>
    </row>
    <row r="47" spans="1:3" x14ac:dyDescent="0.25">
      <c r="A47" s="69" t="s">
        <v>44</v>
      </c>
      <c r="B47" s="68"/>
    </row>
    <row r="48" spans="1:3" x14ac:dyDescent="0.25">
      <c r="A48" s="69" t="s">
        <v>45</v>
      </c>
      <c r="B48" s="68"/>
    </row>
    <row r="49" spans="1:2" x14ac:dyDescent="0.25">
      <c r="A49" s="69" t="s">
        <v>46</v>
      </c>
      <c r="B49" s="68"/>
    </row>
    <row r="50" spans="1:2" x14ac:dyDescent="0.25">
      <c r="A50" s="69" t="s">
        <v>47</v>
      </c>
      <c r="B50" s="68"/>
    </row>
    <row r="51" spans="1:2" ht="16.5" thickBot="1" x14ac:dyDescent="0.3">
      <c r="A51" s="7" t="s">
        <v>48</v>
      </c>
      <c r="B51" s="72">
        <f>SUM(B25:B48)</f>
        <v>1020900.453125</v>
      </c>
    </row>
    <row r="52" spans="1:2" ht="16.5" thickTop="1" x14ac:dyDescent="0.25">
      <c r="A52" s="9" t="s">
        <v>49</v>
      </c>
      <c r="B52" s="10"/>
    </row>
    <row r="53" spans="1:2" x14ac:dyDescent="0.25">
      <c r="A53" s="3" t="s">
        <v>50</v>
      </c>
      <c r="B53" s="10">
        <v>5000</v>
      </c>
    </row>
    <row r="54" spans="1:2" x14ac:dyDescent="0.25">
      <c r="A54" s="3" t="s">
        <v>51</v>
      </c>
      <c r="B54" s="10">
        <v>3000</v>
      </c>
    </row>
    <row r="55" spans="1:2" x14ac:dyDescent="0.25">
      <c r="A55" s="3" t="s">
        <v>52</v>
      </c>
      <c r="B55" s="10">
        <v>7500</v>
      </c>
    </row>
    <row r="56" spans="1:2" x14ac:dyDescent="0.25">
      <c r="A56" s="5" t="s">
        <v>53</v>
      </c>
      <c r="B56" s="71">
        <v>10000</v>
      </c>
    </row>
    <row r="57" spans="1:2" ht="16.5" thickBot="1" x14ac:dyDescent="0.3">
      <c r="A57" s="7" t="s">
        <v>54</v>
      </c>
      <c r="B57" s="72">
        <f>SUM(B53:B56)</f>
        <v>25500</v>
      </c>
    </row>
    <row r="58" spans="1:2" ht="16.5" thickTop="1" x14ac:dyDescent="0.25">
      <c r="A58" s="12" t="s">
        <v>55</v>
      </c>
      <c r="B58" s="10"/>
    </row>
    <row r="59" spans="1:2" x14ac:dyDescent="0.25">
      <c r="A59" s="3" t="s">
        <v>56</v>
      </c>
      <c r="B59" s="10">
        <v>0</v>
      </c>
    </row>
    <row r="60" spans="1:2" x14ac:dyDescent="0.25">
      <c r="A60" s="3" t="s">
        <v>57</v>
      </c>
      <c r="B60" s="10">
        <v>50000</v>
      </c>
    </row>
    <row r="61" spans="1:2" x14ac:dyDescent="0.25">
      <c r="A61" s="3" t="s">
        <v>58</v>
      </c>
      <c r="B61" s="10">
        <v>0</v>
      </c>
    </row>
    <row r="62" spans="1:2" x14ac:dyDescent="0.25">
      <c r="A62" s="3" t="s">
        <v>59</v>
      </c>
      <c r="B62" s="10">
        <v>0</v>
      </c>
    </row>
    <row r="63" spans="1:2" x14ac:dyDescent="0.25">
      <c r="A63" s="3" t="s">
        <v>60</v>
      </c>
      <c r="B63" s="10">
        <v>0</v>
      </c>
    </row>
    <row r="64" spans="1:2" x14ac:dyDescent="0.25">
      <c r="A64" s="3" t="s">
        <v>61</v>
      </c>
      <c r="B64" s="10">
        <v>0</v>
      </c>
    </row>
    <row r="65" spans="1:2" x14ac:dyDescent="0.25">
      <c r="A65" s="5" t="s">
        <v>62</v>
      </c>
      <c r="B65" s="71">
        <v>0</v>
      </c>
    </row>
    <row r="66" spans="1:2" ht="16.5" thickBot="1" x14ac:dyDescent="0.3">
      <c r="A66" s="7" t="s">
        <v>63</v>
      </c>
      <c r="B66" s="72">
        <f>SUM(B59:B65)</f>
        <v>50000</v>
      </c>
    </row>
    <row r="67" spans="1:2" ht="16.5" thickTop="1" x14ac:dyDescent="0.25">
      <c r="A67" s="9" t="s">
        <v>64</v>
      </c>
      <c r="B67" s="10"/>
    </row>
    <row r="68" spans="1:2" x14ac:dyDescent="0.25">
      <c r="A68" s="3" t="s">
        <v>65</v>
      </c>
      <c r="B68" s="10">
        <v>25000</v>
      </c>
    </row>
    <row r="69" spans="1:2" x14ac:dyDescent="0.25">
      <c r="A69" s="3" t="s">
        <v>66</v>
      </c>
      <c r="B69" s="10">
        <v>11000</v>
      </c>
    </row>
    <row r="70" spans="1:2" x14ac:dyDescent="0.25">
      <c r="A70" s="3" t="s">
        <v>67</v>
      </c>
      <c r="B70" s="10">
        <v>9000</v>
      </c>
    </row>
    <row r="71" spans="1:2" x14ac:dyDescent="0.25">
      <c r="A71" s="3" t="s">
        <v>68</v>
      </c>
      <c r="B71" s="10">
        <v>10000</v>
      </c>
    </row>
    <row r="72" spans="1:2" x14ac:dyDescent="0.25">
      <c r="A72" s="3" t="s">
        <v>69</v>
      </c>
      <c r="B72" s="10">
        <v>500</v>
      </c>
    </row>
    <row r="73" spans="1:2" x14ac:dyDescent="0.25">
      <c r="A73" s="3" t="s">
        <v>70</v>
      </c>
      <c r="B73" s="10">
        <v>1000</v>
      </c>
    </row>
    <row r="74" spans="1:2" x14ac:dyDescent="0.25">
      <c r="A74" s="3" t="s">
        <v>71</v>
      </c>
      <c r="B74" s="10">
        <v>5000</v>
      </c>
    </row>
    <row r="75" spans="1:2" x14ac:dyDescent="0.25">
      <c r="A75" s="3" t="s">
        <v>72</v>
      </c>
      <c r="B75" s="10">
        <v>15000</v>
      </c>
    </row>
    <row r="76" spans="1:2" x14ac:dyDescent="0.25">
      <c r="A76" s="3" t="s">
        <v>73</v>
      </c>
      <c r="B76" s="10">
        <v>2600</v>
      </c>
    </row>
    <row r="77" spans="1:2" x14ac:dyDescent="0.25">
      <c r="A77" s="3" t="s">
        <v>74</v>
      </c>
      <c r="B77" s="10">
        <v>4500</v>
      </c>
    </row>
    <row r="78" spans="1:2" x14ac:dyDescent="0.25">
      <c r="A78" s="5" t="s">
        <v>75</v>
      </c>
      <c r="B78" s="71">
        <v>1000</v>
      </c>
    </row>
    <row r="79" spans="1:2" ht="16.5" thickBot="1" x14ac:dyDescent="0.3">
      <c r="A79" s="7" t="s">
        <v>76</v>
      </c>
      <c r="B79" s="72">
        <f>SUM(B68:B78)</f>
        <v>84600</v>
      </c>
    </row>
    <row r="80" spans="1:2" ht="16.5" thickTop="1" x14ac:dyDescent="0.25">
      <c r="A80" s="9" t="s">
        <v>77</v>
      </c>
      <c r="B80" s="10"/>
    </row>
    <row r="81" spans="1:2" x14ac:dyDescent="0.25">
      <c r="A81" s="3" t="s">
        <v>78</v>
      </c>
      <c r="B81" s="10">
        <v>2500</v>
      </c>
    </row>
    <row r="82" spans="1:2" x14ac:dyDescent="0.25">
      <c r="A82" s="3" t="s">
        <v>79</v>
      </c>
      <c r="B82" s="10">
        <v>24000</v>
      </c>
    </row>
    <row r="83" spans="1:2" x14ac:dyDescent="0.25">
      <c r="A83" s="3" t="s">
        <v>80</v>
      </c>
      <c r="B83" s="10">
        <v>11000</v>
      </c>
    </row>
    <row r="84" spans="1:2" x14ac:dyDescent="0.25">
      <c r="A84" s="3" t="s">
        <v>81</v>
      </c>
      <c r="B84" s="10">
        <v>300</v>
      </c>
    </row>
    <row r="85" spans="1:2" x14ac:dyDescent="0.25">
      <c r="A85" s="3" t="s">
        <v>82</v>
      </c>
      <c r="B85" s="10">
        <v>1500</v>
      </c>
    </row>
    <row r="86" spans="1:2" x14ac:dyDescent="0.25">
      <c r="A86" s="3" t="s">
        <v>83</v>
      </c>
      <c r="B86" s="10">
        <v>25000</v>
      </c>
    </row>
    <row r="87" spans="1:2" x14ac:dyDescent="0.25">
      <c r="A87" s="3" t="s">
        <v>84</v>
      </c>
      <c r="B87" s="10">
        <v>2000</v>
      </c>
    </row>
    <row r="88" spans="1:2" x14ac:dyDescent="0.25">
      <c r="A88" s="3" t="s">
        <v>85</v>
      </c>
      <c r="B88" s="10">
        <v>11000</v>
      </c>
    </row>
    <row r="89" spans="1:2" x14ac:dyDescent="0.25">
      <c r="A89" s="3" t="s">
        <v>86</v>
      </c>
      <c r="B89" s="10">
        <v>10000</v>
      </c>
    </row>
    <row r="90" spans="1:2" x14ac:dyDescent="0.25">
      <c r="A90" s="3" t="s">
        <v>87</v>
      </c>
      <c r="B90" s="10">
        <v>25000</v>
      </c>
    </row>
    <row r="91" spans="1:2" x14ac:dyDescent="0.25">
      <c r="A91" s="3" t="s">
        <v>88</v>
      </c>
      <c r="B91" s="10">
        <v>75000</v>
      </c>
    </row>
    <row r="92" spans="1:2" x14ac:dyDescent="0.25">
      <c r="A92" s="3" t="s">
        <v>89</v>
      </c>
      <c r="B92" s="10">
        <v>1000</v>
      </c>
    </row>
    <row r="93" spans="1:2" x14ac:dyDescent="0.25">
      <c r="A93" s="3" t="s">
        <v>90</v>
      </c>
      <c r="B93" s="10">
        <v>500</v>
      </c>
    </row>
    <row r="94" spans="1:2" x14ac:dyDescent="0.25">
      <c r="A94" s="5" t="s">
        <v>91</v>
      </c>
      <c r="B94" s="71">
        <v>0</v>
      </c>
    </row>
    <row r="95" spans="1:2" ht="16.5" thickBot="1" x14ac:dyDescent="0.3">
      <c r="A95" s="7" t="s">
        <v>92</v>
      </c>
      <c r="B95" s="72">
        <f>SUM(B81:B94)</f>
        <v>188800</v>
      </c>
    </row>
    <row r="96" spans="1:2" ht="16.5" thickTop="1" x14ac:dyDescent="0.25">
      <c r="A96" s="9" t="s">
        <v>93</v>
      </c>
      <c r="B96" s="10"/>
    </row>
    <row r="97" spans="1:2" x14ac:dyDescent="0.25">
      <c r="A97" s="3" t="s">
        <v>94</v>
      </c>
      <c r="B97" s="10">
        <v>0</v>
      </c>
    </row>
    <row r="98" spans="1:2" x14ac:dyDescent="0.25">
      <c r="A98" s="5" t="s">
        <v>95</v>
      </c>
      <c r="B98" s="71">
        <v>0</v>
      </c>
    </row>
    <row r="99" spans="1:2" ht="16.5" thickBot="1" x14ac:dyDescent="0.3">
      <c r="A99" s="7" t="s">
        <v>96</v>
      </c>
      <c r="B99" s="72">
        <f>SUM(B97:B98)</f>
        <v>0</v>
      </c>
    </row>
    <row r="100" spans="1:2" ht="16.5" thickTop="1" x14ac:dyDescent="0.25">
      <c r="A100" s="9" t="s">
        <v>97</v>
      </c>
      <c r="B100" s="10"/>
    </row>
    <row r="101" spans="1:2" x14ac:dyDescent="0.25">
      <c r="A101" s="3" t="s">
        <v>98</v>
      </c>
      <c r="B101" s="10">
        <v>12000</v>
      </c>
    </row>
    <row r="102" spans="1:2" x14ac:dyDescent="0.25">
      <c r="A102" s="3" t="s">
        <v>99</v>
      </c>
      <c r="B102" s="10">
        <v>5000</v>
      </c>
    </row>
    <row r="103" spans="1:2" x14ac:dyDescent="0.25">
      <c r="A103" s="3" t="s">
        <v>100</v>
      </c>
      <c r="B103" s="10">
        <v>10000</v>
      </c>
    </row>
    <row r="104" spans="1:2" x14ac:dyDescent="0.25">
      <c r="A104" s="5" t="s">
        <v>101</v>
      </c>
      <c r="B104" s="71">
        <v>2500</v>
      </c>
    </row>
    <row r="105" spans="1:2" ht="16.5" thickBot="1" x14ac:dyDescent="0.3">
      <c r="A105" s="7" t="s">
        <v>102</v>
      </c>
      <c r="B105" s="11">
        <f>SUM(B101:B104)</f>
        <v>29500</v>
      </c>
    </row>
    <row r="106" spans="1:2" ht="16.5" thickTop="1" x14ac:dyDescent="0.25">
      <c r="B106" s="8"/>
    </row>
    <row r="107" spans="1:2" ht="16.5" thickBot="1" x14ac:dyDescent="0.3">
      <c r="A107" s="7" t="s">
        <v>103</v>
      </c>
      <c r="B107" s="13">
        <f>SUM(B23+B51+B57+B66+B79+B95+B99+B105)</f>
        <v>1463300.453125</v>
      </c>
    </row>
    <row r="108" spans="1:2" ht="45.75" thickTop="1" x14ac:dyDescent="0.25">
      <c r="A108" s="14" t="s">
        <v>104</v>
      </c>
      <c r="B108" s="15">
        <v>30009.55</v>
      </c>
    </row>
    <row r="109" spans="1:2" x14ac:dyDescent="0.25">
      <c r="A109" s="7" t="s">
        <v>105</v>
      </c>
      <c r="B109" s="8">
        <f>SUM(B107+B108)</f>
        <v>1493310.003125</v>
      </c>
    </row>
    <row r="110" spans="1:2" x14ac:dyDescent="0.25">
      <c r="A110" s="3" t="s">
        <v>106</v>
      </c>
      <c r="B110" s="16">
        <f>SUM(B18-B109)</f>
        <v>-3.1250000465661287E-3</v>
      </c>
    </row>
  </sheetData>
  <mergeCells count="2">
    <mergeCell ref="A1:B1"/>
    <mergeCell ref="A2:B2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F657A-BB86-402E-BC13-AC479978F64C}">
  <dimension ref="A1:L104"/>
  <sheetViews>
    <sheetView topLeftCell="A6" workbookViewId="0">
      <selection activeCell="B15" sqref="B15"/>
    </sheetView>
  </sheetViews>
  <sheetFormatPr defaultRowHeight="15" x14ac:dyDescent="0.25"/>
  <cols>
    <col min="1" max="1" width="23.140625" customWidth="1"/>
    <col min="2" max="2" width="17.85546875" customWidth="1"/>
    <col min="3" max="3" width="12" customWidth="1"/>
    <col min="4" max="4" width="13.5703125" customWidth="1"/>
    <col min="5" max="5" width="5" customWidth="1"/>
    <col min="6" max="6" width="40.140625" customWidth="1"/>
    <col min="7" max="7" width="15.5703125" customWidth="1"/>
    <col min="9" max="10" width="13.42578125" customWidth="1"/>
    <col min="11" max="11" width="18.5703125" customWidth="1"/>
    <col min="12" max="12" width="19.85546875" customWidth="1"/>
  </cols>
  <sheetData>
    <row r="1" spans="1:12" x14ac:dyDescent="0.25">
      <c r="A1" s="17" t="s">
        <v>107</v>
      </c>
      <c r="B1" s="18" t="s">
        <v>194</v>
      </c>
      <c r="F1" s="75" t="s">
        <v>108</v>
      </c>
      <c r="G1" s="76"/>
      <c r="J1" t="s">
        <v>183</v>
      </c>
      <c r="K1" t="s">
        <v>184</v>
      </c>
      <c r="L1" s="64" t="s">
        <v>185</v>
      </c>
    </row>
    <row r="2" spans="1:12" x14ac:dyDescent="0.25">
      <c r="A2" s="19" t="s">
        <v>191</v>
      </c>
      <c r="B2" s="20">
        <v>25000</v>
      </c>
      <c r="C2" t="s">
        <v>109</v>
      </c>
      <c r="D2" t="s">
        <v>193</v>
      </c>
      <c r="F2" s="21" t="s">
        <v>110</v>
      </c>
      <c r="G2" s="22">
        <v>624</v>
      </c>
    </row>
    <row r="3" spans="1:12" x14ac:dyDescent="0.25">
      <c r="A3" s="19" t="s">
        <v>192</v>
      </c>
      <c r="B3" s="20">
        <f t="shared" ref="B3:B14" si="0">SUM(L3)/2</f>
        <v>47250</v>
      </c>
      <c r="C3" t="s">
        <v>109</v>
      </c>
      <c r="D3" t="s">
        <v>193</v>
      </c>
      <c r="F3" s="21" t="s">
        <v>111</v>
      </c>
      <c r="G3" s="22">
        <v>832</v>
      </c>
      <c r="H3">
        <f>SUM(G2:G3)</f>
        <v>1456</v>
      </c>
      <c r="I3" t="s">
        <v>186</v>
      </c>
      <c r="J3" s="65">
        <v>90000</v>
      </c>
      <c r="K3" s="66">
        <f>SUM(J3*0.05)</f>
        <v>4500</v>
      </c>
      <c r="L3" s="66">
        <f>SUM(J3:K3)</f>
        <v>94500</v>
      </c>
    </row>
    <row r="4" spans="1:12" x14ac:dyDescent="0.25">
      <c r="A4" s="19" t="s">
        <v>112</v>
      </c>
      <c r="B4" s="20">
        <f t="shared" si="0"/>
        <v>41570.025000000001</v>
      </c>
      <c r="C4" t="s">
        <v>109</v>
      </c>
      <c r="F4" s="21" t="s">
        <v>113</v>
      </c>
      <c r="G4" s="22">
        <v>96</v>
      </c>
      <c r="I4" s="67" t="s">
        <v>187</v>
      </c>
      <c r="J4" s="30">
        <v>79181</v>
      </c>
      <c r="K4" s="66">
        <f>SUM(J4*0.05)</f>
        <v>3959.05</v>
      </c>
      <c r="L4" s="66">
        <f>SUM(J4:K4)</f>
        <v>83140.05</v>
      </c>
    </row>
    <row r="5" spans="1:12" x14ac:dyDescent="0.25">
      <c r="A5" s="19" t="s">
        <v>114</v>
      </c>
      <c r="B5" s="20">
        <f t="shared" si="0"/>
        <v>38799.074999999997</v>
      </c>
      <c r="C5" t="s">
        <v>109</v>
      </c>
      <c r="F5" s="21" t="s">
        <v>115</v>
      </c>
      <c r="G5" s="22">
        <v>46</v>
      </c>
      <c r="I5" s="67" t="s">
        <v>114</v>
      </c>
      <c r="J5" s="20">
        <v>73903</v>
      </c>
      <c r="K5" s="66">
        <f t="shared" ref="K5:K14" si="1">SUM(J5*0.05)</f>
        <v>3695.15</v>
      </c>
      <c r="L5" s="66">
        <f t="shared" ref="L5:L14" si="2">SUM(J5:K5)</f>
        <v>77598.149999999994</v>
      </c>
    </row>
    <row r="6" spans="1:12" ht="15.75" thickBot="1" x14ac:dyDescent="0.3">
      <c r="A6" s="19" t="s">
        <v>116</v>
      </c>
      <c r="B6" s="20">
        <f t="shared" si="0"/>
        <v>37690.275000000001</v>
      </c>
      <c r="C6" t="s">
        <v>117</v>
      </c>
      <c r="F6" s="23" t="s">
        <v>118</v>
      </c>
      <c r="G6" s="24">
        <f>SUM(G2-G4-G5)+184</f>
        <v>666</v>
      </c>
      <c r="I6" s="67" t="s">
        <v>116</v>
      </c>
      <c r="J6" s="20">
        <v>71791</v>
      </c>
      <c r="K6" s="66">
        <f t="shared" si="1"/>
        <v>3589.55</v>
      </c>
      <c r="L6" s="66">
        <f t="shared" si="2"/>
        <v>75380.55</v>
      </c>
    </row>
    <row r="7" spans="1:12" x14ac:dyDescent="0.25">
      <c r="A7" s="19" t="s">
        <v>119</v>
      </c>
      <c r="B7" s="20">
        <f t="shared" si="0"/>
        <v>35473.199999999997</v>
      </c>
      <c r="C7" t="s">
        <v>117</v>
      </c>
      <c r="F7" s="75" t="s">
        <v>120</v>
      </c>
      <c r="G7" s="76"/>
      <c r="I7" s="67" t="s">
        <v>119</v>
      </c>
      <c r="J7" s="20">
        <v>67568</v>
      </c>
      <c r="K7" s="66">
        <f t="shared" si="1"/>
        <v>3378.4</v>
      </c>
      <c r="L7" s="66">
        <f t="shared" si="2"/>
        <v>70946.399999999994</v>
      </c>
    </row>
    <row r="8" spans="1:12" x14ac:dyDescent="0.25">
      <c r="A8" s="19" t="s">
        <v>121</v>
      </c>
      <c r="B8" s="20">
        <f t="shared" si="0"/>
        <v>33467.275000000001</v>
      </c>
      <c r="C8" t="s">
        <v>117</v>
      </c>
      <c r="F8" s="21" t="s">
        <v>122</v>
      </c>
      <c r="G8" s="22">
        <v>624</v>
      </c>
      <c r="I8" s="67" t="s">
        <v>188</v>
      </c>
      <c r="J8" s="20">
        <v>63345</v>
      </c>
      <c r="K8" s="66">
        <f>SUM(J6*0.05)</f>
        <v>3589.55</v>
      </c>
      <c r="L8" s="66">
        <f t="shared" si="2"/>
        <v>66934.55</v>
      </c>
    </row>
    <row r="9" spans="1:12" x14ac:dyDescent="0.25">
      <c r="A9" s="19" t="s">
        <v>123</v>
      </c>
      <c r="B9" s="20">
        <f t="shared" si="0"/>
        <v>31593.45</v>
      </c>
      <c r="C9" t="s">
        <v>117</v>
      </c>
      <c r="F9" s="21" t="s">
        <v>111</v>
      </c>
      <c r="G9" s="22">
        <v>832</v>
      </c>
      <c r="H9">
        <f>SUM(G8:G9)</f>
        <v>1456</v>
      </c>
      <c r="I9" s="67" t="s">
        <v>123</v>
      </c>
      <c r="J9" s="20">
        <v>60178</v>
      </c>
      <c r="K9" s="66">
        <f t="shared" si="1"/>
        <v>3008.9</v>
      </c>
      <c r="L9" s="66">
        <f t="shared" si="2"/>
        <v>63186.9</v>
      </c>
    </row>
    <row r="10" spans="1:12" x14ac:dyDescent="0.25">
      <c r="A10" s="19" t="s">
        <v>124</v>
      </c>
      <c r="B10" s="20">
        <f t="shared" si="0"/>
        <v>31593.45</v>
      </c>
      <c r="C10" t="s">
        <v>117</v>
      </c>
      <c r="F10" s="21" t="s">
        <v>113</v>
      </c>
      <c r="G10" s="22">
        <v>70</v>
      </c>
      <c r="I10" s="67" t="s">
        <v>124</v>
      </c>
      <c r="J10" s="20">
        <v>60178</v>
      </c>
      <c r="K10" s="66">
        <f t="shared" si="1"/>
        <v>3008.9</v>
      </c>
      <c r="L10" s="66">
        <f t="shared" si="2"/>
        <v>63186.9</v>
      </c>
    </row>
    <row r="11" spans="1:12" x14ac:dyDescent="0.25">
      <c r="A11" s="19" t="s">
        <v>125</v>
      </c>
      <c r="B11" s="20">
        <f t="shared" si="0"/>
        <v>31593.45</v>
      </c>
      <c r="C11" t="s">
        <v>117</v>
      </c>
      <c r="F11" s="21" t="s">
        <v>126</v>
      </c>
      <c r="G11" s="22">
        <v>46</v>
      </c>
      <c r="I11" s="67" t="s">
        <v>125</v>
      </c>
      <c r="J11" s="20">
        <v>60178</v>
      </c>
      <c r="K11" s="66">
        <f t="shared" si="1"/>
        <v>3008.9</v>
      </c>
      <c r="L11" s="66">
        <f t="shared" si="2"/>
        <v>63186.9</v>
      </c>
    </row>
    <row r="12" spans="1:12" ht="15.75" thickBot="1" x14ac:dyDescent="0.3">
      <c r="A12" s="19" t="s">
        <v>127</v>
      </c>
      <c r="B12" s="20">
        <f t="shared" si="0"/>
        <v>31593.45</v>
      </c>
      <c r="C12" t="s">
        <v>117</v>
      </c>
      <c r="F12" s="23" t="s">
        <v>118</v>
      </c>
      <c r="G12" s="24">
        <f>SUM(G8-G10-G11)+164</f>
        <v>672</v>
      </c>
      <c r="I12" s="67" t="s">
        <v>127</v>
      </c>
      <c r="J12" s="20">
        <v>60178</v>
      </c>
      <c r="K12" s="66">
        <f t="shared" si="1"/>
        <v>3008.9</v>
      </c>
      <c r="L12" s="66">
        <f t="shared" si="2"/>
        <v>63186.9</v>
      </c>
    </row>
    <row r="13" spans="1:12" ht="15.75" thickBot="1" x14ac:dyDescent="0.3">
      <c r="A13" s="19" t="s">
        <v>128</v>
      </c>
      <c r="B13" s="20">
        <f t="shared" si="0"/>
        <v>31593.45</v>
      </c>
      <c r="C13" t="s">
        <v>117</v>
      </c>
      <c r="F13" s="75" t="s">
        <v>129</v>
      </c>
      <c r="G13" s="76"/>
      <c r="I13" s="67" t="s">
        <v>128</v>
      </c>
      <c r="J13" s="20">
        <v>60178</v>
      </c>
      <c r="K13" s="66">
        <f t="shared" si="1"/>
        <v>3008.9</v>
      </c>
      <c r="L13" s="66">
        <f t="shared" si="2"/>
        <v>63186.9</v>
      </c>
    </row>
    <row r="14" spans="1:12" x14ac:dyDescent="0.25">
      <c r="A14" s="19" t="s">
        <v>130</v>
      </c>
      <c r="B14" s="20">
        <f t="shared" si="0"/>
        <v>26854.275000000001</v>
      </c>
      <c r="C14" t="s">
        <v>117</v>
      </c>
      <c r="D14" s="25"/>
      <c r="F14" s="26" t="s">
        <v>122</v>
      </c>
      <c r="G14" s="27">
        <v>1440</v>
      </c>
      <c r="I14" s="67" t="s">
        <v>189</v>
      </c>
      <c r="J14" s="20">
        <v>51151</v>
      </c>
      <c r="K14" s="66">
        <f t="shared" si="1"/>
        <v>2557.5500000000002</v>
      </c>
      <c r="L14" s="66">
        <f t="shared" si="2"/>
        <v>53708.55</v>
      </c>
    </row>
    <row r="15" spans="1:12" x14ac:dyDescent="0.25">
      <c r="A15" s="28"/>
      <c r="B15" s="29">
        <f>SUM(B2:B14)</f>
        <v>444071.375</v>
      </c>
      <c r="F15" s="21" t="s">
        <v>131</v>
      </c>
      <c r="G15" s="22">
        <v>78</v>
      </c>
      <c r="I15" s="67" t="s">
        <v>190</v>
      </c>
      <c r="J15" s="20">
        <v>0</v>
      </c>
      <c r="K15" s="66">
        <v>56868</v>
      </c>
      <c r="L15" s="66">
        <v>56868</v>
      </c>
    </row>
    <row r="16" spans="1:12" x14ac:dyDescent="0.25">
      <c r="D16" s="30"/>
      <c r="F16" s="21" t="s">
        <v>113</v>
      </c>
      <c r="G16" s="22">
        <v>156</v>
      </c>
      <c r="J16" s="66">
        <f>SUM(J3:J15)</f>
        <v>797829</v>
      </c>
      <c r="K16" s="66">
        <f>SUM(K3:K15)</f>
        <v>97181.75</v>
      </c>
      <c r="L16" s="66">
        <f>SUM(L3:L15)</f>
        <v>895010.75000000012</v>
      </c>
    </row>
    <row r="17" spans="1:12" x14ac:dyDescent="0.25">
      <c r="A17" s="17" t="s">
        <v>132</v>
      </c>
      <c r="B17" s="18"/>
      <c r="F17" s="21" t="s">
        <v>115</v>
      </c>
      <c r="G17" s="22">
        <v>70</v>
      </c>
    </row>
    <row r="18" spans="1:12" ht="15.75" thickBot="1" x14ac:dyDescent="0.3">
      <c r="A18" s="19" t="s">
        <v>133</v>
      </c>
      <c r="B18" s="20">
        <f>SUM(C18/2)</f>
        <v>3600</v>
      </c>
      <c r="C18" s="65">
        <v>7200</v>
      </c>
      <c r="F18" s="31" t="s">
        <v>118</v>
      </c>
      <c r="G18" s="32">
        <f>SUM(G14-G15-G16-G17)</f>
        <v>1136</v>
      </c>
      <c r="I18" s="33" t="s">
        <v>134</v>
      </c>
      <c r="J18" s="33"/>
      <c r="L18" s="33" t="s">
        <v>135</v>
      </c>
    </row>
    <row r="19" spans="1:12" ht="15.75" thickBot="1" x14ac:dyDescent="0.3">
      <c r="A19" s="19" t="s">
        <v>136</v>
      </c>
      <c r="B19" s="20">
        <f>SUM(C19/2)</f>
        <v>2400</v>
      </c>
      <c r="C19" s="65">
        <v>4800</v>
      </c>
      <c r="F19" s="79" t="s">
        <v>137</v>
      </c>
      <c r="G19" s="80"/>
      <c r="I19" s="33" t="s">
        <v>138</v>
      </c>
      <c r="J19" s="34">
        <f>SUM(B9/G38*G41)</f>
        <v>1535.7927083333334</v>
      </c>
      <c r="L19" s="35">
        <v>22.69</v>
      </c>
    </row>
    <row r="20" spans="1:12" x14ac:dyDescent="0.25">
      <c r="A20" s="19" t="s">
        <v>139</v>
      </c>
      <c r="B20" s="20">
        <f>SUM(C20/2)</f>
        <v>1900</v>
      </c>
      <c r="C20" s="65">
        <v>3800</v>
      </c>
      <c r="F20" s="21" t="s">
        <v>122</v>
      </c>
      <c r="G20" s="27">
        <v>1440</v>
      </c>
      <c r="I20" s="33" t="s">
        <v>140</v>
      </c>
      <c r="J20" s="34">
        <f>SUM(B14/G62*G65)</f>
        <v>1305.4161458333333</v>
      </c>
      <c r="L20" s="36">
        <v>19.29</v>
      </c>
    </row>
    <row r="21" spans="1:12" x14ac:dyDescent="0.25">
      <c r="A21" s="19" t="s">
        <v>141</v>
      </c>
      <c r="B21" s="20">
        <v>0</v>
      </c>
      <c r="F21" s="21" t="s">
        <v>131</v>
      </c>
      <c r="G21" s="22">
        <v>78</v>
      </c>
      <c r="I21" s="33" t="s">
        <v>142</v>
      </c>
      <c r="J21" s="34">
        <f>SUM(B10/G44*G47)</f>
        <v>1535.7927083333334</v>
      </c>
      <c r="L21" s="35">
        <v>22.69</v>
      </c>
    </row>
    <row r="22" spans="1:12" x14ac:dyDescent="0.25">
      <c r="A22" s="28"/>
      <c r="B22" s="29">
        <f>SUM(B18:B21)</f>
        <v>7900</v>
      </c>
      <c r="C22" t="s">
        <v>143</v>
      </c>
      <c r="F22" s="21" t="s">
        <v>113</v>
      </c>
      <c r="G22" s="22">
        <v>168</v>
      </c>
      <c r="I22" s="33" t="s">
        <v>144</v>
      </c>
      <c r="J22" s="34">
        <f>SUM(B7/G32*G35)</f>
        <v>1724.3916666666667</v>
      </c>
      <c r="L22" s="36">
        <v>25.48</v>
      </c>
    </row>
    <row r="23" spans="1:12" x14ac:dyDescent="0.25">
      <c r="F23" s="21" t="s">
        <v>115</v>
      </c>
      <c r="G23" s="22">
        <v>70</v>
      </c>
      <c r="I23" s="33" t="s">
        <v>145</v>
      </c>
      <c r="J23" s="34">
        <f>SUM(B6/G14*G17)</f>
        <v>1832.1661458333335</v>
      </c>
      <c r="L23" s="36">
        <v>27.07</v>
      </c>
    </row>
    <row r="24" spans="1:12" ht="15.75" thickBot="1" x14ac:dyDescent="0.3">
      <c r="A24" t="s">
        <v>146</v>
      </c>
      <c r="F24" s="23" t="s">
        <v>118</v>
      </c>
      <c r="G24" s="24">
        <f>SUM(G20-G21-G22-G23)</f>
        <v>1124</v>
      </c>
      <c r="I24" s="33" t="s">
        <v>147</v>
      </c>
      <c r="J24" s="34">
        <f>SUM(B5/H9*G11)</f>
        <v>1225.7949519230767</v>
      </c>
      <c r="L24" s="36">
        <v>33.840000000000003</v>
      </c>
    </row>
    <row r="25" spans="1:12" ht="15.75" thickBot="1" x14ac:dyDescent="0.3">
      <c r="A25" s="37" t="s">
        <v>195</v>
      </c>
      <c r="B25" s="38"/>
      <c r="C25" s="38">
        <v>4400</v>
      </c>
      <c r="D25" s="18" t="s">
        <v>148</v>
      </c>
      <c r="F25" s="75" t="s">
        <v>149</v>
      </c>
      <c r="G25" s="76"/>
      <c r="I25" s="33" t="s">
        <v>150</v>
      </c>
      <c r="J25" s="34">
        <f>SUM(B11/G20*G23)</f>
        <v>1535.7927083333334</v>
      </c>
      <c r="L25" s="36">
        <v>22.69</v>
      </c>
    </row>
    <row r="26" spans="1:12" x14ac:dyDescent="0.25">
      <c r="A26" s="19" t="s">
        <v>196</v>
      </c>
      <c r="C26">
        <v>4400</v>
      </c>
      <c r="D26" s="39" t="s">
        <v>148</v>
      </c>
      <c r="F26" s="21" t="s">
        <v>122</v>
      </c>
      <c r="G26" s="27">
        <v>1440</v>
      </c>
      <c r="I26" s="33" t="s">
        <v>151</v>
      </c>
      <c r="J26" s="34">
        <f>SUM(B12/G56*G59)</f>
        <v>1535.7927083333334</v>
      </c>
      <c r="L26" s="36">
        <v>22.69</v>
      </c>
    </row>
    <row r="27" spans="1:12" x14ac:dyDescent="0.25">
      <c r="A27" s="28"/>
      <c r="B27" s="40" t="s">
        <v>152</v>
      </c>
      <c r="C27" s="41">
        <f>SUM(C25:C26)</f>
        <v>8800</v>
      </c>
      <c r="D27" s="42" t="s">
        <v>148</v>
      </c>
      <c r="F27" s="21" t="s">
        <v>131</v>
      </c>
      <c r="G27" s="22">
        <v>78</v>
      </c>
      <c r="I27" s="33" t="s">
        <v>153</v>
      </c>
      <c r="J27" s="34">
        <f>SUM(B4/H3*G5)</f>
        <v>1313.338701923077</v>
      </c>
      <c r="L27" s="36">
        <v>36.26</v>
      </c>
    </row>
    <row r="28" spans="1:12" x14ac:dyDescent="0.25">
      <c r="A28" s="37" t="s">
        <v>195</v>
      </c>
      <c r="B28" s="38"/>
      <c r="C28" s="38">
        <v>4400</v>
      </c>
      <c r="D28" s="18" t="s">
        <v>148</v>
      </c>
      <c r="F28" s="21" t="s">
        <v>113</v>
      </c>
      <c r="G28" s="22">
        <v>156</v>
      </c>
      <c r="I28" s="33" t="s">
        <v>154</v>
      </c>
      <c r="J28" s="34">
        <f>SUM(B13/G50*G53)</f>
        <v>1535.7927083333334</v>
      </c>
      <c r="L28" s="36">
        <v>21.56</v>
      </c>
    </row>
    <row r="29" spans="1:12" x14ac:dyDescent="0.25">
      <c r="A29" s="19" t="s">
        <v>197</v>
      </c>
      <c r="C29">
        <v>4400</v>
      </c>
      <c r="D29" s="39" t="s">
        <v>148</v>
      </c>
      <c r="F29" s="21" t="s">
        <v>115</v>
      </c>
      <c r="G29" s="22">
        <v>70</v>
      </c>
      <c r="I29" s="33" t="s">
        <v>155</v>
      </c>
      <c r="J29" s="34">
        <f>SUM(B8/G26*G29)</f>
        <v>1626.8814236111114</v>
      </c>
      <c r="L29" s="36">
        <v>23.89</v>
      </c>
    </row>
    <row r="30" spans="1:12" ht="15.75" thickBot="1" x14ac:dyDescent="0.3">
      <c r="A30" s="28"/>
      <c r="B30" s="40" t="s">
        <v>152</v>
      </c>
      <c r="C30" s="41">
        <f>SUM(C28:C29)</f>
        <v>8800</v>
      </c>
      <c r="D30" s="42" t="s">
        <v>148</v>
      </c>
      <c r="F30" s="23" t="s">
        <v>118</v>
      </c>
      <c r="G30" s="24">
        <f>SUM(G26-G27-G28-G29)</f>
        <v>1136</v>
      </c>
      <c r="I30" s="33" t="s">
        <v>156</v>
      </c>
      <c r="J30" s="34">
        <f>SUM(B3/2080*92)</f>
        <v>2089.9038461538462</v>
      </c>
      <c r="L30" s="36">
        <v>41.21</v>
      </c>
    </row>
    <row r="31" spans="1:12" ht="15.75" thickBot="1" x14ac:dyDescent="0.3">
      <c r="F31" s="75" t="s">
        <v>157</v>
      </c>
      <c r="G31" s="76"/>
      <c r="I31" s="43" t="s">
        <v>152</v>
      </c>
      <c r="J31" s="34">
        <f>SUM(J19:J30)</f>
        <v>18796.856423611112</v>
      </c>
    </row>
    <row r="32" spans="1:12" x14ac:dyDescent="0.25">
      <c r="A32" s="37" t="s">
        <v>158</v>
      </c>
      <c r="B32" s="38"/>
      <c r="C32" s="38">
        <f>SUM(G6+-G12+G24+G30+G18+G36+G42+G48+G54+G60-G73)</f>
        <v>8674</v>
      </c>
      <c r="D32" s="18" t="s">
        <v>148</v>
      </c>
      <c r="F32" s="21" t="s">
        <v>122</v>
      </c>
      <c r="G32" s="27">
        <v>1440</v>
      </c>
      <c r="L32" s="44" t="s">
        <v>159</v>
      </c>
    </row>
    <row r="33" spans="1:12" ht="15.75" thickBot="1" x14ac:dyDescent="0.3">
      <c r="A33" s="28" t="s">
        <v>160</v>
      </c>
      <c r="B33" s="40"/>
      <c r="C33" s="40">
        <f>SUM(G67)</f>
        <v>988</v>
      </c>
      <c r="D33" s="42" t="s">
        <v>148</v>
      </c>
      <c r="F33" s="21" t="s">
        <v>131</v>
      </c>
      <c r="G33" s="22">
        <v>78</v>
      </c>
      <c r="L33" s="45">
        <f>AVERAGE(L19:L30)</f>
        <v>26.61333333333333</v>
      </c>
    </row>
    <row r="34" spans="1:12" x14ac:dyDescent="0.25">
      <c r="F34" s="21" t="s">
        <v>113</v>
      </c>
      <c r="G34" s="22">
        <v>120</v>
      </c>
    </row>
    <row r="35" spans="1:12" x14ac:dyDescent="0.25">
      <c r="A35" s="37" t="s">
        <v>161</v>
      </c>
      <c r="B35" s="38"/>
      <c r="C35" s="38">
        <f>SUM(C25+C26+C28-C32)</f>
        <v>4526</v>
      </c>
      <c r="D35" s="18" t="s">
        <v>148</v>
      </c>
      <c r="F35" s="21" t="s">
        <v>115</v>
      </c>
      <c r="G35" s="22">
        <v>70</v>
      </c>
    </row>
    <row r="36" spans="1:12" ht="15.75" thickBot="1" x14ac:dyDescent="0.3">
      <c r="A36" s="28" t="s">
        <v>162</v>
      </c>
      <c r="B36" s="40"/>
      <c r="C36" s="40">
        <f>SUM(C29-C33)</f>
        <v>3412</v>
      </c>
      <c r="D36" s="42" t="s">
        <v>148</v>
      </c>
      <c r="F36" s="23" t="s">
        <v>118</v>
      </c>
      <c r="G36" s="24">
        <f>SUM(G32-G33-G34-G35)</f>
        <v>1172</v>
      </c>
    </row>
    <row r="37" spans="1:12" ht="15.75" thickBot="1" x14ac:dyDescent="0.3">
      <c r="F37" s="75" t="s">
        <v>163</v>
      </c>
      <c r="G37" s="76"/>
    </row>
    <row r="38" spans="1:12" x14ac:dyDescent="0.25">
      <c r="A38" s="37" t="s">
        <v>164</v>
      </c>
      <c r="B38" s="38"/>
      <c r="C38" s="46">
        <v>24</v>
      </c>
      <c r="D38" s="47">
        <f>SUM(C35*C38)</f>
        <v>108624</v>
      </c>
      <c r="F38" s="21" t="s">
        <v>122</v>
      </c>
      <c r="G38" s="27">
        <v>1440</v>
      </c>
    </row>
    <row r="39" spans="1:12" x14ac:dyDescent="0.25">
      <c r="A39" s="19" t="s">
        <v>165</v>
      </c>
      <c r="C39" s="48">
        <v>22</v>
      </c>
      <c r="D39" s="49">
        <f>SUM(C36*C39)</f>
        <v>75064</v>
      </c>
      <c r="F39" s="21" t="s">
        <v>131</v>
      </c>
      <c r="G39" s="22">
        <v>78</v>
      </c>
    </row>
    <row r="40" spans="1:12" x14ac:dyDescent="0.25">
      <c r="A40" s="28" t="s">
        <v>166</v>
      </c>
      <c r="B40" s="40"/>
      <c r="C40" s="40"/>
      <c r="D40" s="50">
        <f>SUM(D38:D39)</f>
        <v>183688</v>
      </c>
      <c r="F40" s="21" t="s">
        <v>113</v>
      </c>
      <c r="G40" s="22">
        <v>84</v>
      </c>
    </row>
    <row r="41" spans="1:12" x14ac:dyDescent="0.25">
      <c r="F41" s="21" t="s">
        <v>115</v>
      </c>
      <c r="G41" s="22">
        <v>70</v>
      </c>
    </row>
    <row r="42" spans="1:12" ht="15.75" thickBot="1" x14ac:dyDescent="0.3">
      <c r="A42" s="37" t="s">
        <v>167</v>
      </c>
      <c r="B42" s="38"/>
      <c r="C42" s="38"/>
      <c r="D42" s="51">
        <v>25000</v>
      </c>
      <c r="F42" s="23" t="s">
        <v>118</v>
      </c>
      <c r="G42" s="24">
        <f>SUM(G38-G39-G40-G41)</f>
        <v>1208</v>
      </c>
    </row>
    <row r="43" spans="1:12" ht="15.75" thickBot="1" x14ac:dyDescent="0.3">
      <c r="A43" s="28" t="s">
        <v>168</v>
      </c>
      <c r="B43" s="40"/>
      <c r="C43" s="40"/>
      <c r="D43" s="52">
        <v>6000</v>
      </c>
      <c r="F43" s="75" t="s">
        <v>169</v>
      </c>
      <c r="G43" s="76"/>
    </row>
    <row r="44" spans="1:12" x14ac:dyDescent="0.25">
      <c r="F44" s="21" t="s">
        <v>122</v>
      </c>
      <c r="G44" s="27">
        <v>1440</v>
      </c>
    </row>
    <row r="45" spans="1:12" x14ac:dyDescent="0.25">
      <c r="A45" s="37" t="s">
        <v>170</v>
      </c>
      <c r="B45" s="38"/>
      <c r="C45" s="38"/>
      <c r="D45" s="51">
        <v>2000</v>
      </c>
      <c r="F45" s="21" t="s">
        <v>131</v>
      </c>
      <c r="G45" s="22">
        <v>78</v>
      </c>
    </row>
    <row r="46" spans="1:12" x14ac:dyDescent="0.25">
      <c r="A46" s="28" t="s">
        <v>171</v>
      </c>
      <c r="B46" s="40">
        <v>12</v>
      </c>
      <c r="C46" s="53"/>
      <c r="D46" s="50">
        <v>132000</v>
      </c>
      <c r="F46" s="21" t="s">
        <v>113</v>
      </c>
      <c r="G46" s="22">
        <v>84</v>
      </c>
    </row>
    <row r="47" spans="1:12" x14ac:dyDescent="0.25">
      <c r="F47" s="21" t="s">
        <v>115</v>
      </c>
      <c r="G47" s="22">
        <v>70</v>
      </c>
    </row>
    <row r="48" spans="1:12" ht="15.75" thickBot="1" x14ac:dyDescent="0.3">
      <c r="A48" s="77" t="s">
        <v>172</v>
      </c>
      <c r="B48" s="78"/>
      <c r="C48" s="78"/>
      <c r="D48" s="54">
        <f>SUM(J31)</f>
        <v>18796.856423611112</v>
      </c>
      <c r="F48" s="23" t="s">
        <v>118</v>
      </c>
      <c r="G48" s="24">
        <f>SUM(G44-G45-G46-G47)</f>
        <v>1208</v>
      </c>
    </row>
    <row r="49" spans="1:7" ht="15.75" thickBot="1" x14ac:dyDescent="0.3">
      <c r="F49" s="75" t="s">
        <v>173</v>
      </c>
      <c r="G49" s="76"/>
    </row>
    <row r="50" spans="1:7" x14ac:dyDescent="0.25">
      <c r="A50" s="77" t="s">
        <v>174</v>
      </c>
      <c r="B50" s="78"/>
      <c r="C50" s="78"/>
      <c r="D50" s="55">
        <v>17100</v>
      </c>
      <c r="F50" s="21" t="s">
        <v>122</v>
      </c>
      <c r="G50" s="27">
        <v>1440</v>
      </c>
    </row>
    <row r="51" spans="1:7" x14ac:dyDescent="0.25">
      <c r="D51" s="51">
        <v>34241.919999999998</v>
      </c>
      <c r="F51" s="21" t="s">
        <v>131</v>
      </c>
      <c r="G51" s="22">
        <v>78</v>
      </c>
    </row>
    <row r="52" spans="1:7" x14ac:dyDescent="0.25">
      <c r="F52" s="21" t="s">
        <v>113</v>
      </c>
      <c r="G52" s="22">
        <v>84</v>
      </c>
    </row>
    <row r="53" spans="1:7" x14ac:dyDescent="0.25">
      <c r="F53" s="21" t="s">
        <v>115</v>
      </c>
      <c r="G53" s="22">
        <v>70</v>
      </c>
    </row>
    <row r="54" spans="1:7" ht="15.75" thickBot="1" x14ac:dyDescent="0.3">
      <c r="F54" s="23" t="s">
        <v>118</v>
      </c>
      <c r="G54" s="24">
        <f>SUM(G50-G51-G52-G53)</f>
        <v>1208</v>
      </c>
    </row>
    <row r="55" spans="1:7" ht="15.75" thickBot="1" x14ac:dyDescent="0.3">
      <c r="F55" s="75" t="s">
        <v>175</v>
      </c>
      <c r="G55" s="76"/>
    </row>
    <row r="56" spans="1:7" x14ac:dyDescent="0.25">
      <c r="F56" s="21" t="s">
        <v>122</v>
      </c>
      <c r="G56" s="27">
        <v>1440</v>
      </c>
    </row>
    <row r="57" spans="1:7" x14ac:dyDescent="0.25">
      <c r="F57" s="21" t="s">
        <v>131</v>
      </c>
      <c r="G57" s="22">
        <v>78</v>
      </c>
    </row>
    <row r="58" spans="1:7" x14ac:dyDescent="0.25">
      <c r="F58" s="21" t="s">
        <v>113</v>
      </c>
      <c r="G58" s="22">
        <v>84</v>
      </c>
    </row>
    <row r="59" spans="1:7" x14ac:dyDescent="0.25">
      <c r="F59" s="21" t="s">
        <v>115</v>
      </c>
      <c r="G59" s="22">
        <v>70</v>
      </c>
    </row>
    <row r="60" spans="1:7" ht="15.75" thickBot="1" x14ac:dyDescent="0.3">
      <c r="F60" s="23" t="s">
        <v>118</v>
      </c>
      <c r="G60" s="24">
        <f>SUM(G56-G57-G58-G59)</f>
        <v>1208</v>
      </c>
    </row>
    <row r="61" spans="1:7" ht="15.75" thickBot="1" x14ac:dyDescent="0.3">
      <c r="F61" s="75" t="s">
        <v>176</v>
      </c>
      <c r="G61" s="76"/>
    </row>
    <row r="62" spans="1:7" x14ac:dyDescent="0.25">
      <c r="F62" s="21" t="s">
        <v>177</v>
      </c>
      <c r="G62" s="27">
        <v>1440</v>
      </c>
    </row>
    <row r="63" spans="1:7" x14ac:dyDescent="0.25">
      <c r="F63" s="21" t="s">
        <v>131</v>
      </c>
      <c r="G63" s="22">
        <v>78</v>
      </c>
    </row>
    <row r="64" spans="1:7" x14ac:dyDescent="0.25">
      <c r="F64" s="21" t="s">
        <v>113</v>
      </c>
      <c r="G64" s="22">
        <v>84</v>
      </c>
    </row>
    <row r="65" spans="6:7" x14ac:dyDescent="0.25">
      <c r="F65" s="21" t="s">
        <v>115</v>
      </c>
      <c r="G65" s="22">
        <v>70</v>
      </c>
    </row>
    <row r="66" spans="6:7" x14ac:dyDescent="0.25">
      <c r="F66" s="56" t="s">
        <v>178</v>
      </c>
      <c r="G66" s="57">
        <v>220</v>
      </c>
    </row>
    <row r="67" spans="6:7" ht="15.75" thickBot="1" x14ac:dyDescent="0.3">
      <c r="F67" s="23" t="s">
        <v>118</v>
      </c>
      <c r="G67" s="24">
        <f>SUM(G62-G63-G64-G65-G66)</f>
        <v>988</v>
      </c>
    </row>
    <row r="70" spans="6:7" x14ac:dyDescent="0.25">
      <c r="F70" s="58"/>
      <c r="G70" s="58"/>
    </row>
    <row r="71" spans="6:7" x14ac:dyDescent="0.25">
      <c r="F71" s="17" t="s">
        <v>179</v>
      </c>
      <c r="G71" s="18"/>
    </row>
    <row r="72" spans="6:7" x14ac:dyDescent="0.25">
      <c r="F72" s="19" t="s">
        <v>180</v>
      </c>
      <c r="G72" s="59"/>
    </row>
    <row r="73" spans="6:7" x14ac:dyDescent="0.25">
      <c r="F73" s="60" t="s">
        <v>181</v>
      </c>
      <c r="G73" s="59">
        <v>720</v>
      </c>
    </row>
    <row r="74" spans="6:7" x14ac:dyDescent="0.25">
      <c r="F74" s="61" t="s">
        <v>182</v>
      </c>
      <c r="G74" s="62">
        <f>AVERAGE(L33*G73)</f>
        <v>19161.599999999999</v>
      </c>
    </row>
    <row r="75" spans="6:7" x14ac:dyDescent="0.25">
      <c r="F75" s="58"/>
    </row>
    <row r="76" spans="6:7" x14ac:dyDescent="0.25">
      <c r="G76" s="58"/>
    </row>
    <row r="77" spans="6:7" x14ac:dyDescent="0.25">
      <c r="F77" s="63"/>
      <c r="G77" s="58"/>
    </row>
    <row r="78" spans="6:7" x14ac:dyDescent="0.25">
      <c r="F78" s="58"/>
      <c r="G78" s="58"/>
    </row>
    <row r="89" spans="6:7" x14ac:dyDescent="0.25">
      <c r="F89" s="58"/>
    </row>
    <row r="95" spans="6:7" x14ac:dyDescent="0.25">
      <c r="F95" s="58"/>
      <c r="G95" s="58"/>
    </row>
    <row r="97" spans="6:7" x14ac:dyDescent="0.25">
      <c r="F97" s="58"/>
    </row>
    <row r="104" spans="6:7" x14ac:dyDescent="0.25">
      <c r="F104" s="58"/>
      <c r="G104" s="58"/>
    </row>
  </sheetData>
  <mergeCells count="13">
    <mergeCell ref="F31:G31"/>
    <mergeCell ref="F1:G1"/>
    <mergeCell ref="F7:G7"/>
    <mergeCell ref="F13:G13"/>
    <mergeCell ref="F19:G19"/>
    <mergeCell ref="F25:G25"/>
    <mergeCell ref="F61:G61"/>
    <mergeCell ref="F37:G37"/>
    <mergeCell ref="F43:G43"/>
    <mergeCell ref="A48:C48"/>
    <mergeCell ref="F49:G49"/>
    <mergeCell ref="A50:C50"/>
    <mergeCell ref="F55:G5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 Semi Annual budget</vt:lpstr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Lintz</dc:creator>
  <cp:lastModifiedBy>Karin Winchester</cp:lastModifiedBy>
  <dcterms:created xsi:type="dcterms:W3CDTF">2025-04-15T21:03:04Z</dcterms:created>
  <dcterms:modified xsi:type="dcterms:W3CDTF">2025-06-02T16:00:53Z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2025-06-02T16:00:53Z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9d662746-c510-4ce5-8175-cf2884141c20</vt:lpwstr>
  </property>
  <property fmtid="{D5CDD505-2E9C-101B-9397-08002B2CF9AE}" pid="7" name="MSIP_Label_defa4170-0d19-0005-0004-bc88714345d2_ActionId">
    <vt:lpwstr>ad9a16ac-b516-4cde-bfeb-23b2409bff97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